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6" i="1"/>
  <c r="F116"/>
  <c r="E116"/>
  <c r="B116"/>
  <c r="G114"/>
  <c r="C114"/>
  <c r="D114" s="1"/>
  <c r="G113"/>
  <c r="D113"/>
  <c r="C113"/>
  <c r="G112"/>
  <c r="C112"/>
  <c r="D112" s="1"/>
  <c r="G111"/>
  <c r="D111"/>
  <c r="C111"/>
  <c r="G110"/>
  <c r="C110"/>
  <c r="D110" s="1"/>
  <c r="G109"/>
  <c r="D109"/>
  <c r="C109"/>
  <c r="G108"/>
  <c r="C108"/>
  <c r="D108" s="1"/>
  <c r="G107"/>
  <c r="D107"/>
  <c r="C107"/>
  <c r="G106"/>
  <c r="C106"/>
  <c r="D106" s="1"/>
  <c r="G105"/>
  <c r="D105"/>
  <c r="C105"/>
  <c r="G104"/>
  <c r="C104"/>
  <c r="D104" s="1"/>
  <c r="G103"/>
  <c r="D103"/>
  <c r="C103"/>
  <c r="G102"/>
  <c r="C102"/>
  <c r="D102" s="1"/>
  <c r="G101"/>
  <c r="D101"/>
  <c r="C101"/>
  <c r="G100"/>
  <c r="C100"/>
  <c r="D100" s="1"/>
  <c r="G99"/>
  <c r="D99"/>
  <c r="C99"/>
  <c r="G98"/>
  <c r="C98"/>
  <c r="D98" s="1"/>
  <c r="G94"/>
  <c r="D94"/>
  <c r="C94"/>
  <c r="G93"/>
  <c r="C93"/>
  <c r="D93" s="1"/>
  <c r="G92"/>
  <c r="D92"/>
  <c r="C92"/>
  <c r="G91"/>
  <c r="C91"/>
  <c r="D91" s="1"/>
  <c r="G90"/>
  <c r="D90"/>
  <c r="C90"/>
  <c r="G89"/>
  <c r="C89"/>
  <c r="D89" s="1"/>
  <c r="G88"/>
  <c r="D88"/>
  <c r="C88"/>
  <c r="G87"/>
  <c r="C87"/>
  <c r="D87" s="1"/>
  <c r="G86"/>
  <c r="D86"/>
  <c r="C86"/>
  <c r="G85"/>
  <c r="C85"/>
  <c r="D85" s="1"/>
  <c r="G84"/>
  <c r="D84"/>
  <c r="C84"/>
  <c r="G83"/>
  <c r="C83"/>
  <c r="D83" s="1"/>
  <c r="G82"/>
  <c r="D82"/>
  <c r="C82"/>
  <c r="G81"/>
  <c r="C81"/>
  <c r="D81" s="1"/>
  <c r="G80"/>
  <c r="D80"/>
  <c r="C80"/>
  <c r="G79"/>
  <c r="C79"/>
  <c r="D79" s="1"/>
  <c r="G78"/>
  <c r="D78"/>
  <c r="C78"/>
  <c r="G77"/>
  <c r="C77"/>
  <c r="D77" s="1"/>
  <c r="G76"/>
  <c r="D76"/>
  <c r="C76"/>
  <c r="G75"/>
  <c r="C75"/>
  <c r="D75" s="1"/>
  <c r="G74"/>
  <c r="D74"/>
  <c r="C74"/>
  <c r="G73"/>
  <c r="C73"/>
  <c r="D73" s="1"/>
  <c r="G72"/>
  <c r="D72"/>
  <c r="C72"/>
  <c r="G71"/>
  <c r="C71"/>
  <c r="D71" s="1"/>
  <c r="G70"/>
  <c r="D70"/>
  <c r="C70"/>
  <c r="G69"/>
  <c r="C69"/>
  <c r="D69" s="1"/>
  <c r="G68"/>
  <c r="D68"/>
  <c r="C68"/>
  <c r="G67"/>
  <c r="D67"/>
  <c r="G66"/>
  <c r="C66"/>
  <c r="D66" s="1"/>
  <c r="G65"/>
  <c r="D65"/>
  <c r="C65"/>
  <c r="G64"/>
  <c r="C64"/>
  <c r="D64" s="1"/>
  <c r="G63"/>
  <c r="D63"/>
  <c r="C63"/>
  <c r="G62"/>
  <c r="C62"/>
  <c r="D62" s="1"/>
  <c r="G61"/>
  <c r="D61"/>
  <c r="C61"/>
  <c r="G60"/>
  <c r="C60"/>
  <c r="D60" s="1"/>
  <c r="G59"/>
  <c r="D59"/>
  <c r="C59"/>
  <c r="G58"/>
  <c r="C58"/>
  <c r="D58" s="1"/>
  <c r="G57"/>
  <c r="D57"/>
  <c r="C57"/>
  <c r="G56"/>
  <c r="C56"/>
  <c r="D56" s="1"/>
  <c r="G55"/>
  <c r="D55"/>
  <c r="C55"/>
  <c r="G54"/>
  <c r="C54"/>
  <c r="D54" s="1"/>
  <c r="G53"/>
  <c r="D53"/>
  <c r="C53"/>
  <c r="G52"/>
  <c r="D52"/>
  <c r="G51"/>
  <c r="C51"/>
  <c r="D51" s="1"/>
  <c r="G47"/>
  <c r="D47"/>
  <c r="C47"/>
  <c r="G46"/>
  <c r="C46"/>
  <c r="D46" s="1"/>
  <c r="G45"/>
  <c r="D45"/>
  <c r="C45"/>
  <c r="G44"/>
  <c r="C44"/>
  <c r="D44" s="1"/>
  <c r="G43"/>
  <c r="D43"/>
  <c r="C43"/>
  <c r="G42"/>
  <c r="C42"/>
  <c r="D42" s="1"/>
  <c r="G41"/>
  <c r="D41"/>
  <c r="C41"/>
  <c r="G40"/>
  <c r="C40"/>
  <c r="D40" s="1"/>
  <c r="G39"/>
  <c r="D39"/>
  <c r="C39"/>
  <c r="G38"/>
  <c r="C38"/>
  <c r="D38" s="1"/>
  <c r="G37"/>
  <c r="D37"/>
  <c r="C37"/>
  <c r="G36"/>
  <c r="C36"/>
  <c r="D36" s="1"/>
  <c r="G35"/>
  <c r="D35"/>
  <c r="C35"/>
  <c r="G34"/>
  <c r="C34"/>
  <c r="D34" s="1"/>
  <c r="G33"/>
  <c r="D33"/>
  <c r="C33"/>
  <c r="G32"/>
  <c r="C32"/>
  <c r="D32" s="1"/>
  <c r="G31"/>
  <c r="D31"/>
  <c r="C31"/>
  <c r="G30"/>
  <c r="C30"/>
  <c r="D30" s="1"/>
  <c r="G29"/>
  <c r="D29"/>
  <c r="C29"/>
  <c r="G28"/>
  <c r="C28"/>
  <c r="D28" s="1"/>
  <c r="G27"/>
  <c r="D27"/>
  <c r="C27"/>
  <c r="G26"/>
  <c r="C26"/>
  <c r="D26" s="1"/>
  <c r="G25"/>
  <c r="D25"/>
  <c r="C25"/>
  <c r="G24"/>
  <c r="C24"/>
  <c r="D24" s="1"/>
  <c r="G23"/>
  <c r="D23"/>
  <c r="C23"/>
  <c r="G22"/>
  <c r="C22"/>
  <c r="D22" s="1"/>
  <c r="G21"/>
  <c r="D21"/>
  <c r="C21"/>
  <c r="G20"/>
  <c r="C20"/>
  <c r="D20" s="1"/>
  <c r="G19"/>
  <c r="D19"/>
  <c r="C19"/>
  <c r="G18"/>
  <c r="C18"/>
  <c r="D18" s="1"/>
  <c r="G17"/>
  <c r="D17"/>
  <c r="C17"/>
  <c r="G16"/>
  <c r="C16"/>
  <c r="D16" s="1"/>
  <c r="G15"/>
  <c r="D15"/>
  <c r="C15"/>
  <c r="G14"/>
  <c r="C14"/>
  <c r="D14" s="1"/>
  <c r="G13"/>
  <c r="D13"/>
  <c r="C13"/>
  <c r="G12"/>
  <c r="C12"/>
  <c r="D12" s="1"/>
  <c r="G11"/>
  <c r="D11"/>
  <c r="C11"/>
  <c r="G10"/>
  <c r="C10"/>
  <c r="D10" s="1"/>
  <c r="G9"/>
  <c r="D9"/>
  <c r="C9"/>
  <c r="G8"/>
  <c r="C8"/>
  <c r="D8" s="1"/>
  <c r="G7"/>
  <c r="D7"/>
  <c r="C7"/>
  <c r="G6"/>
  <c r="C6"/>
  <c r="D6" s="1"/>
  <c r="G5"/>
  <c r="D5"/>
  <c r="C5"/>
  <c r="G4"/>
  <c r="C4"/>
  <c r="D4" s="1"/>
  <c r="C116" l="1"/>
  <c r="D116" s="1"/>
</calcChain>
</file>

<file path=xl/sharedStrings.xml><?xml version="1.0" encoding="utf-8"?>
<sst xmlns="http://schemas.openxmlformats.org/spreadsheetml/2006/main" count="145" uniqueCount="117">
  <si>
    <t>COUNTY</t>
  </si>
  <si>
    <t>REGISTERED</t>
  </si>
  <si>
    <t>ADVANCE</t>
  </si>
  <si>
    <t>PERCENT</t>
  </si>
  <si>
    <t>PROVISIONAL</t>
  </si>
  <si>
    <t>TOTAL VOTES</t>
  </si>
  <si>
    <t>VOTERS</t>
  </si>
  <si>
    <t>OF TOTAL VOTES</t>
  </si>
  <si>
    <t>VOTES</t>
  </si>
  <si>
    <t>CAST</t>
  </si>
  <si>
    <t>TURNOUT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</si>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</sst>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3" fontId="3" fillId="0" borderId="0" xfId="1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workbookViewId="0"/>
  </sheetViews>
  <sheetFormatPr defaultRowHeight="15"/>
  <cols>
    <col min="1" max="1" width="13.7109375" bestFit="1" customWidth="1"/>
    <col min="2" max="2" width="11.5703125" bestFit="1" customWidth="1"/>
    <col min="3" max="3" width="9.7109375" bestFit="1" customWidth="1"/>
    <col min="4" max="4" width="15.7109375" bestFit="1" customWidth="1"/>
    <col min="5" max="5" width="13.28515625" bestFit="1" customWidth="1"/>
    <col min="6" max="6" width="12.7109375" bestFit="1" customWidth="1"/>
    <col min="7" max="7" width="9.85546875" bestFit="1" customWidth="1"/>
  </cols>
  <sheetData>
    <row r="1" spans="1:7" s="11" customFormat="1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3</v>
      </c>
    </row>
    <row r="2" spans="1:7" s="11" customFormat="1">
      <c r="A2" s="9"/>
      <c r="B2" s="10" t="s">
        <v>6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</row>
    <row r="3" spans="1:7">
      <c r="A3" s="1"/>
      <c r="B3" s="3"/>
      <c r="C3" s="3"/>
      <c r="D3" s="3"/>
      <c r="E3" s="3"/>
      <c r="F3" s="3"/>
      <c r="G3" s="3"/>
    </row>
    <row r="4" spans="1:7">
      <c r="A4" s="1" t="s">
        <v>11</v>
      </c>
      <c r="B4" s="4">
        <v>8584</v>
      </c>
      <c r="C4" s="2">
        <f>108+70+251+3</f>
        <v>432</v>
      </c>
      <c r="D4" s="5">
        <f>C4/F4</f>
        <v>0.13504220068771491</v>
      </c>
      <c r="E4" s="2">
        <v>54</v>
      </c>
      <c r="F4" s="6">
        <v>3199</v>
      </c>
      <c r="G4" s="5">
        <f t="shared" ref="G4:G11" si="0">F4/B4</f>
        <v>0.37267008387698042</v>
      </c>
    </row>
    <row r="5" spans="1:7">
      <c r="A5" s="1" t="s">
        <v>12</v>
      </c>
      <c r="B5" s="4">
        <v>5300</v>
      </c>
      <c r="C5" s="2">
        <f>36+15+69</f>
        <v>120</v>
      </c>
      <c r="D5" s="5">
        <f>C5/F5</f>
        <v>8.9485458612975396E-2</v>
      </c>
      <c r="E5" s="2">
        <v>25</v>
      </c>
      <c r="F5" s="6">
        <v>1341</v>
      </c>
      <c r="G5" s="5">
        <f t="shared" si="0"/>
        <v>0.25301886792452832</v>
      </c>
    </row>
    <row r="6" spans="1:7">
      <c r="A6" s="1" t="s">
        <v>13</v>
      </c>
      <c r="B6" s="4">
        <v>10624</v>
      </c>
      <c r="C6" s="2">
        <f>56+22+124+4</f>
        <v>206</v>
      </c>
      <c r="D6" s="5">
        <f>C6/F6</f>
        <v>0.10107948969578018</v>
      </c>
      <c r="E6" s="2">
        <v>50</v>
      </c>
      <c r="F6" s="6">
        <v>2038</v>
      </c>
      <c r="G6" s="5">
        <f t="shared" si="0"/>
        <v>0.19182981927710843</v>
      </c>
    </row>
    <row r="7" spans="1:7">
      <c r="A7" s="1" t="s">
        <v>14</v>
      </c>
      <c r="B7" s="4">
        <v>3184</v>
      </c>
      <c r="C7" s="2">
        <f>17+47+151+1</f>
        <v>216</v>
      </c>
      <c r="D7" s="5">
        <f>C7/F7</f>
        <v>0.1427627230667548</v>
      </c>
      <c r="E7" s="2">
        <v>48</v>
      </c>
      <c r="F7" s="6">
        <v>1513</v>
      </c>
      <c r="G7" s="5">
        <f t="shared" si="0"/>
        <v>0.47518844221105527</v>
      </c>
    </row>
    <row r="8" spans="1:7">
      <c r="A8" s="1" t="s">
        <v>15</v>
      </c>
      <c r="B8" s="4">
        <v>16954</v>
      </c>
      <c r="C8" s="6">
        <f>184+188+805+3</f>
        <v>1180</v>
      </c>
      <c r="D8" s="5">
        <f>C8/F8</f>
        <v>0.20877565463552725</v>
      </c>
      <c r="E8" s="2">
        <v>121</v>
      </c>
      <c r="F8" s="6">
        <v>5652</v>
      </c>
      <c r="G8" s="5">
        <f t="shared" si="0"/>
        <v>0.33337265542054972</v>
      </c>
    </row>
    <row r="9" spans="1:7">
      <c r="A9" s="1" t="s">
        <v>16</v>
      </c>
      <c r="B9" s="4">
        <v>10839</v>
      </c>
      <c r="C9" s="2">
        <f>180+62+334+6</f>
        <v>582</v>
      </c>
      <c r="D9" s="5">
        <f t="shared" ref="D9:D72" si="1">C9/F9</f>
        <v>0.1881060116354234</v>
      </c>
      <c r="E9" s="2">
        <v>66</v>
      </c>
      <c r="F9" s="6">
        <v>3094</v>
      </c>
      <c r="G9" s="5">
        <f t="shared" si="0"/>
        <v>0.28545068733277978</v>
      </c>
    </row>
    <row r="10" spans="1:7">
      <c r="A10" s="1" t="s">
        <v>17</v>
      </c>
      <c r="B10" s="4">
        <v>6515</v>
      </c>
      <c r="C10" s="2">
        <f>17+50+112+3</f>
        <v>182</v>
      </c>
      <c r="D10" s="5">
        <f t="shared" si="1"/>
        <v>9.6808510638297873E-2</v>
      </c>
      <c r="E10" s="2">
        <v>44</v>
      </c>
      <c r="F10" s="6">
        <v>1880</v>
      </c>
      <c r="G10" s="5">
        <f t="shared" si="0"/>
        <v>0.28856485034535689</v>
      </c>
    </row>
    <row r="11" spans="1:7">
      <c r="A11" s="1" t="s">
        <v>18</v>
      </c>
      <c r="B11" s="4">
        <v>40825</v>
      </c>
      <c r="C11" s="6">
        <f>334+332+438+3</f>
        <v>1107</v>
      </c>
      <c r="D11" s="5">
        <f t="shared" si="1"/>
        <v>0.11751592356687898</v>
      </c>
      <c r="E11" s="2">
        <v>202</v>
      </c>
      <c r="F11" s="6">
        <v>9420</v>
      </c>
      <c r="G11" s="5">
        <f t="shared" si="0"/>
        <v>0.23074096754439682</v>
      </c>
    </row>
    <row r="12" spans="1:7">
      <c r="A12" s="1" t="s">
        <v>19</v>
      </c>
      <c r="B12" s="4">
        <v>1937</v>
      </c>
      <c r="C12" s="2">
        <f>26+29+72</f>
        <v>127</v>
      </c>
      <c r="D12" s="5">
        <f t="shared" si="1"/>
        <v>0.26078028747433263</v>
      </c>
      <c r="E12" s="2">
        <v>10</v>
      </c>
      <c r="F12" s="2">
        <v>487</v>
      </c>
      <c r="G12" s="5">
        <f>F12/B12</f>
        <v>0.25141972121837891</v>
      </c>
    </row>
    <row r="13" spans="1:7">
      <c r="A13" s="1" t="s">
        <v>20</v>
      </c>
      <c r="B13" s="4">
        <v>2464</v>
      </c>
      <c r="C13" s="2">
        <f>46+125+45</f>
        <v>216</v>
      </c>
      <c r="D13" s="5">
        <f t="shared" si="1"/>
        <v>0.19600725952813067</v>
      </c>
      <c r="E13" s="2">
        <v>34</v>
      </c>
      <c r="F13" s="6">
        <v>1102</v>
      </c>
      <c r="G13" s="5">
        <f>F13/B13</f>
        <v>0.44724025974025972</v>
      </c>
    </row>
    <row r="14" spans="1:7">
      <c r="A14" s="1" t="s">
        <v>21</v>
      </c>
      <c r="B14" s="4">
        <v>11858</v>
      </c>
      <c r="C14" s="2">
        <f>415+60+116</f>
        <v>591</v>
      </c>
      <c r="D14" s="5">
        <f t="shared" si="1"/>
        <v>0.12397734424166142</v>
      </c>
      <c r="E14" s="2">
        <v>88</v>
      </c>
      <c r="F14" s="6">
        <v>4767</v>
      </c>
      <c r="G14" s="5">
        <f>F14/B14</f>
        <v>0.40200708382526562</v>
      </c>
    </row>
    <row r="15" spans="1:7">
      <c r="A15" s="1" t="s">
        <v>22</v>
      </c>
      <c r="B15" s="4">
        <v>1900</v>
      </c>
      <c r="C15" s="2">
        <f>18+20+208</f>
        <v>246</v>
      </c>
      <c r="D15" s="5">
        <f t="shared" si="1"/>
        <v>0.29746070133010882</v>
      </c>
      <c r="E15" s="2">
        <v>2</v>
      </c>
      <c r="F15" s="2">
        <v>827</v>
      </c>
      <c r="G15" s="5">
        <f>F15/B15</f>
        <v>0.43526315789473685</v>
      </c>
    </row>
    <row r="16" spans="1:7">
      <c r="A16" s="1" t="s">
        <v>23</v>
      </c>
      <c r="B16" s="4">
        <v>1523</v>
      </c>
      <c r="C16" s="2">
        <f>15+10+67</f>
        <v>92</v>
      </c>
      <c r="D16" s="5">
        <f t="shared" si="1"/>
        <v>0.25770308123249297</v>
      </c>
      <c r="E16" s="2">
        <v>10</v>
      </c>
      <c r="F16" s="2">
        <v>357</v>
      </c>
      <c r="G16" s="5">
        <f>F16/B16</f>
        <v>0.23440577806959947</v>
      </c>
    </row>
    <row r="17" spans="1:7">
      <c r="A17" s="1" t="s">
        <v>24</v>
      </c>
      <c r="B17" s="4">
        <v>5776</v>
      </c>
      <c r="C17" s="2">
        <f>84+57+236</f>
        <v>377</v>
      </c>
      <c r="D17" s="5">
        <f t="shared" si="1"/>
        <v>0.23533083645443195</v>
      </c>
      <c r="E17" s="2">
        <v>30</v>
      </c>
      <c r="F17" s="6">
        <v>1602</v>
      </c>
      <c r="G17" s="5">
        <f t="shared" ref="G17:G64" si="2">F17/B17</f>
        <v>0.2773545706371191</v>
      </c>
    </row>
    <row r="18" spans="1:7">
      <c r="A18" s="1" t="s">
        <v>25</v>
      </c>
      <c r="B18" s="4">
        <v>6194</v>
      </c>
      <c r="C18" s="2">
        <f>84+23+92+1</f>
        <v>200</v>
      </c>
      <c r="D18" s="5">
        <f t="shared" si="1"/>
        <v>0.13218770654329148</v>
      </c>
      <c r="E18" s="2">
        <v>18</v>
      </c>
      <c r="F18" s="6">
        <v>1513</v>
      </c>
      <c r="G18" s="5">
        <f t="shared" si="2"/>
        <v>0.24426864707781723</v>
      </c>
    </row>
    <row r="19" spans="1:7">
      <c r="A19" s="1" t="s">
        <v>26</v>
      </c>
      <c r="B19" s="4">
        <v>6015</v>
      </c>
      <c r="C19" s="2">
        <f>46+53+247+4</f>
        <v>350</v>
      </c>
      <c r="D19" s="5">
        <f t="shared" si="1"/>
        <v>0.15297202797202797</v>
      </c>
      <c r="E19" s="2">
        <v>46</v>
      </c>
      <c r="F19" s="6">
        <v>2288</v>
      </c>
      <c r="G19" s="5">
        <f t="shared" si="2"/>
        <v>0.38038237738985869</v>
      </c>
    </row>
    <row r="20" spans="1:7">
      <c r="A20" s="1" t="s">
        <v>27</v>
      </c>
      <c r="B20" s="4">
        <v>1220</v>
      </c>
      <c r="C20" s="2">
        <f>8+13+6</f>
        <v>27</v>
      </c>
      <c r="D20" s="5">
        <f t="shared" si="1"/>
        <v>6.1926605504587159E-2</v>
      </c>
      <c r="E20" s="2">
        <v>6</v>
      </c>
      <c r="F20" s="2">
        <v>436</v>
      </c>
      <c r="G20" s="5">
        <f t="shared" si="2"/>
        <v>0.35737704918032787</v>
      </c>
    </row>
    <row r="21" spans="1:7">
      <c r="A21" s="1" t="s">
        <v>28</v>
      </c>
      <c r="B21" s="4">
        <v>20515</v>
      </c>
      <c r="C21" s="2">
        <f>188+204+441</f>
        <v>833</v>
      </c>
      <c r="D21" s="5">
        <f t="shared" si="1"/>
        <v>0.16333333333333333</v>
      </c>
      <c r="E21" s="2">
        <v>110</v>
      </c>
      <c r="F21" s="6">
        <v>5100</v>
      </c>
      <c r="G21" s="5">
        <f t="shared" si="2"/>
        <v>0.24859858640019497</v>
      </c>
    </row>
    <row r="22" spans="1:7">
      <c r="A22" s="1" t="s">
        <v>29</v>
      </c>
      <c r="B22" s="4">
        <v>22982</v>
      </c>
      <c r="C22" s="2">
        <f>632+241+101+3</f>
        <v>977</v>
      </c>
      <c r="D22" s="5">
        <f t="shared" si="1"/>
        <v>0.18766807529773338</v>
      </c>
      <c r="E22" s="2">
        <v>102</v>
      </c>
      <c r="F22" s="6">
        <v>5206</v>
      </c>
      <c r="G22" s="5">
        <f t="shared" si="2"/>
        <v>0.22652510660516925</v>
      </c>
    </row>
    <row r="23" spans="1:7">
      <c r="A23" s="1" t="s">
        <v>30</v>
      </c>
      <c r="B23" s="4">
        <v>1939</v>
      </c>
      <c r="C23" s="2">
        <f>20+39+74</f>
        <v>133</v>
      </c>
      <c r="D23" s="5">
        <f t="shared" si="1"/>
        <v>0.14860335195530727</v>
      </c>
      <c r="E23" s="2">
        <v>6</v>
      </c>
      <c r="F23" s="2">
        <v>895</v>
      </c>
      <c r="G23" s="5">
        <f t="shared" si="2"/>
        <v>0.46157813305827744</v>
      </c>
    </row>
    <row r="24" spans="1:7">
      <c r="A24" s="1" t="s">
        <v>31</v>
      </c>
      <c r="B24" s="4">
        <v>12778</v>
      </c>
      <c r="C24" s="2">
        <f>72+70+215+2</f>
        <v>359</v>
      </c>
      <c r="D24" s="5">
        <f t="shared" si="1"/>
        <v>0.10402781802376122</v>
      </c>
      <c r="E24" s="2">
        <v>109</v>
      </c>
      <c r="F24" s="6">
        <v>3451</v>
      </c>
      <c r="G24" s="5">
        <f t="shared" si="2"/>
        <v>0.27007356393801846</v>
      </c>
    </row>
    <row r="25" spans="1:7">
      <c r="A25" s="1" t="s">
        <v>32</v>
      </c>
      <c r="B25" s="4">
        <v>5516</v>
      </c>
      <c r="C25" s="2">
        <f>36+37+80</f>
        <v>153</v>
      </c>
      <c r="D25" s="5">
        <f t="shared" si="1"/>
        <v>7.4127906976744193E-2</v>
      </c>
      <c r="E25" s="2">
        <v>53</v>
      </c>
      <c r="F25" s="6">
        <v>2064</v>
      </c>
      <c r="G25" s="5">
        <f t="shared" si="2"/>
        <v>0.37418419144307469</v>
      </c>
    </row>
    <row r="26" spans="1:7">
      <c r="A26" s="1" t="s">
        <v>33</v>
      </c>
      <c r="B26" s="4">
        <v>74987</v>
      </c>
      <c r="C26" s="2">
        <f>243+136+568+19</f>
        <v>966</v>
      </c>
      <c r="D26" s="5">
        <f t="shared" si="1"/>
        <v>9.4188767550702032E-2</v>
      </c>
      <c r="E26" s="2">
        <v>170</v>
      </c>
      <c r="F26" s="6">
        <v>10256</v>
      </c>
      <c r="G26" s="5">
        <f t="shared" si="2"/>
        <v>0.13677037353141211</v>
      </c>
    </row>
    <row r="27" spans="1:7">
      <c r="A27" s="1" t="s">
        <v>34</v>
      </c>
      <c r="B27" s="4">
        <v>1849</v>
      </c>
      <c r="C27" s="2">
        <f>11+16+34</f>
        <v>61</v>
      </c>
      <c r="D27" s="5">
        <f t="shared" si="1"/>
        <v>6.86936936936937E-2</v>
      </c>
      <c r="E27" s="2">
        <v>20</v>
      </c>
      <c r="F27" s="2">
        <v>888</v>
      </c>
      <c r="G27" s="5">
        <f t="shared" si="2"/>
        <v>0.48025959978366684</v>
      </c>
    </row>
    <row r="28" spans="1:7">
      <c r="A28" s="1" t="s">
        <v>35</v>
      </c>
      <c r="B28" s="4">
        <v>1884</v>
      </c>
      <c r="C28" s="2">
        <f>14+49+46</f>
        <v>109</v>
      </c>
      <c r="D28" s="5">
        <f t="shared" si="1"/>
        <v>0.1383248730964467</v>
      </c>
      <c r="E28" s="2">
        <v>7</v>
      </c>
      <c r="F28" s="2">
        <v>788</v>
      </c>
      <c r="G28" s="5">
        <f t="shared" si="2"/>
        <v>0.41825902335456477</v>
      </c>
    </row>
    <row r="29" spans="1:7">
      <c r="A29" s="1" t="s">
        <v>36</v>
      </c>
      <c r="B29" s="4">
        <v>17810</v>
      </c>
      <c r="C29" s="2">
        <f>83+92+240+2</f>
        <v>417</v>
      </c>
      <c r="D29" s="5">
        <f t="shared" si="1"/>
        <v>0.16131528046421664</v>
      </c>
      <c r="E29" s="2">
        <v>24</v>
      </c>
      <c r="F29" s="6">
        <v>2585</v>
      </c>
      <c r="G29" s="5">
        <f t="shared" si="2"/>
        <v>0.14514317798989332</v>
      </c>
    </row>
    <row r="30" spans="1:7">
      <c r="A30" s="1" t="s">
        <v>37</v>
      </c>
      <c r="B30" s="4">
        <v>4071</v>
      </c>
      <c r="C30" s="2">
        <f>17+24+106+1</f>
        <v>148</v>
      </c>
      <c r="D30" s="5">
        <f t="shared" si="1"/>
        <v>0.10971089696071164</v>
      </c>
      <c r="E30" s="2">
        <v>24</v>
      </c>
      <c r="F30" s="6">
        <v>1349</v>
      </c>
      <c r="G30" s="5">
        <f t="shared" si="2"/>
        <v>0.33136821419798573</v>
      </c>
    </row>
    <row r="31" spans="1:7">
      <c r="A31" s="1" t="s">
        <v>38</v>
      </c>
      <c r="B31" s="4">
        <v>16007</v>
      </c>
      <c r="C31" s="2">
        <f>46+174+195+5</f>
        <v>420</v>
      </c>
      <c r="D31" s="5">
        <f t="shared" si="1"/>
        <v>0.11131725417439703</v>
      </c>
      <c r="E31" s="2">
        <v>114</v>
      </c>
      <c r="F31" s="7">
        <v>3773</v>
      </c>
      <c r="G31" s="5">
        <f t="shared" si="2"/>
        <v>0.23570937714749796</v>
      </c>
    </row>
    <row r="32" spans="1:7">
      <c r="A32" s="1" t="s">
        <v>39</v>
      </c>
      <c r="B32" s="4">
        <v>14903</v>
      </c>
      <c r="C32" s="2">
        <f>110+88+282+2</f>
        <v>482</v>
      </c>
      <c r="D32" s="5">
        <f t="shared" si="1"/>
        <v>0.1755280407865987</v>
      </c>
      <c r="E32" s="2">
        <v>62</v>
      </c>
      <c r="F32" s="6">
        <v>2746</v>
      </c>
      <c r="G32" s="5">
        <f t="shared" si="2"/>
        <v>0.1842582030463665</v>
      </c>
    </row>
    <row r="33" spans="1:7">
      <c r="A33" s="1" t="s">
        <v>40</v>
      </c>
      <c r="B33" s="4">
        <v>16704</v>
      </c>
      <c r="C33" s="2">
        <f>130+78+399</f>
        <v>607</v>
      </c>
      <c r="D33" s="5">
        <f t="shared" si="1"/>
        <v>0.11205464279121286</v>
      </c>
      <c r="E33" s="2">
        <v>126</v>
      </c>
      <c r="F33" s="6">
        <v>5417</v>
      </c>
      <c r="G33" s="5">
        <f t="shared" si="2"/>
        <v>0.32429358237547895</v>
      </c>
    </row>
    <row r="34" spans="1:7">
      <c r="A34" s="1" t="s">
        <v>41</v>
      </c>
      <c r="B34" s="4">
        <v>13652</v>
      </c>
      <c r="C34" s="2">
        <f>134+192+59+11</f>
        <v>396</v>
      </c>
      <c r="D34" s="5">
        <f t="shared" si="1"/>
        <v>0.14965986394557823</v>
      </c>
      <c r="E34" s="2">
        <v>63</v>
      </c>
      <c r="F34" s="6">
        <v>2646</v>
      </c>
      <c r="G34" s="5">
        <f t="shared" si="2"/>
        <v>0.19381775564019924</v>
      </c>
    </row>
    <row r="35" spans="1:7">
      <c r="A35" s="1" t="s">
        <v>42</v>
      </c>
      <c r="B35" s="4">
        <v>1897</v>
      </c>
      <c r="C35" s="2">
        <f>4+36+8</f>
        <v>48</v>
      </c>
      <c r="D35" s="5">
        <f t="shared" si="1"/>
        <v>7.3732718894009217E-2</v>
      </c>
      <c r="E35" s="2">
        <v>9</v>
      </c>
      <c r="F35" s="2">
        <v>651</v>
      </c>
      <c r="G35" s="5">
        <f t="shared" si="2"/>
        <v>0.34317343173431736</v>
      </c>
    </row>
    <row r="36" spans="1:7">
      <c r="A36" s="1" t="s">
        <v>43</v>
      </c>
      <c r="B36" s="4">
        <v>1990</v>
      </c>
      <c r="C36" s="2">
        <f>9+38+99</f>
        <v>146</v>
      </c>
      <c r="D36" s="5">
        <f t="shared" si="1"/>
        <v>0.16590909090909092</v>
      </c>
      <c r="E36" s="2">
        <v>32</v>
      </c>
      <c r="F36" s="2">
        <v>880</v>
      </c>
      <c r="G36" s="5">
        <f t="shared" si="2"/>
        <v>0.44221105527638194</v>
      </c>
    </row>
    <row r="37" spans="1:7">
      <c r="A37" s="1" t="s">
        <v>44</v>
      </c>
      <c r="B37" s="4">
        <v>4061</v>
      </c>
      <c r="C37" s="2">
        <f>36+8+215+1</f>
        <v>260</v>
      </c>
      <c r="D37" s="5">
        <f t="shared" si="1"/>
        <v>0.19330855018587362</v>
      </c>
      <c r="E37" s="2">
        <v>41</v>
      </c>
      <c r="F37" s="6">
        <v>1345</v>
      </c>
      <c r="G37" s="5">
        <f t="shared" si="2"/>
        <v>0.33119921201674463</v>
      </c>
    </row>
    <row r="38" spans="1:7">
      <c r="A38" s="1" t="s">
        <v>45</v>
      </c>
      <c r="B38" s="4">
        <v>2935</v>
      </c>
      <c r="C38" s="2">
        <f>65+11+98</f>
        <v>174</v>
      </c>
      <c r="D38" s="5">
        <f t="shared" si="1"/>
        <v>0.27444794952681389</v>
      </c>
      <c r="E38" s="2">
        <v>28</v>
      </c>
      <c r="F38" s="2">
        <v>634</v>
      </c>
      <c r="G38" s="5">
        <f t="shared" si="2"/>
        <v>0.2160136286201022</v>
      </c>
    </row>
    <row r="39" spans="1:7">
      <c r="A39" s="1" t="s">
        <v>46</v>
      </c>
      <c r="B39" s="4">
        <v>945</v>
      </c>
      <c r="C39" s="2">
        <f>7+8+128+1</f>
        <v>144</v>
      </c>
      <c r="D39" s="5">
        <f t="shared" si="1"/>
        <v>0.23606557377049181</v>
      </c>
      <c r="E39" s="2">
        <v>15</v>
      </c>
      <c r="F39" s="2">
        <v>610</v>
      </c>
      <c r="G39" s="5">
        <f t="shared" si="2"/>
        <v>0.64550264550264547</v>
      </c>
    </row>
    <row r="40" spans="1:7">
      <c r="A40" s="1" t="s">
        <v>47</v>
      </c>
      <c r="B40" s="4">
        <v>5109</v>
      </c>
      <c r="C40" s="2">
        <f>13+81+227</f>
        <v>321</v>
      </c>
      <c r="D40" s="5">
        <f t="shared" si="1"/>
        <v>0.17502726281352235</v>
      </c>
      <c r="E40" s="2">
        <v>77</v>
      </c>
      <c r="F40" s="6">
        <v>1834</v>
      </c>
      <c r="G40" s="5">
        <f t="shared" si="2"/>
        <v>0.35897435897435898</v>
      </c>
    </row>
    <row r="41" spans="1:7">
      <c r="A41" s="1" t="s">
        <v>48</v>
      </c>
      <c r="B41" s="4">
        <v>1262</v>
      </c>
      <c r="C41" s="2">
        <f>28+37+186</f>
        <v>251</v>
      </c>
      <c r="D41" s="5">
        <f t="shared" si="1"/>
        <v>0.36911764705882355</v>
      </c>
      <c r="E41" s="2">
        <v>25</v>
      </c>
      <c r="F41" s="2">
        <v>680</v>
      </c>
      <c r="G41" s="5">
        <f t="shared" si="2"/>
        <v>0.53882725832012679</v>
      </c>
    </row>
    <row r="42" spans="1:7">
      <c r="A42" s="1" t="s">
        <v>49</v>
      </c>
      <c r="B42" s="4">
        <v>4185</v>
      </c>
      <c r="C42" s="2">
        <f>21+76+36</f>
        <v>133</v>
      </c>
      <c r="D42" s="5">
        <f t="shared" si="1"/>
        <v>8.8607594936708861E-2</v>
      </c>
      <c r="E42" s="2">
        <v>41</v>
      </c>
      <c r="F42" s="6">
        <v>1501</v>
      </c>
      <c r="G42" s="5">
        <f t="shared" si="2"/>
        <v>0.35866188769414575</v>
      </c>
    </row>
    <row r="43" spans="1:7">
      <c r="A43" s="1" t="s">
        <v>50</v>
      </c>
      <c r="B43" s="4">
        <v>21637</v>
      </c>
      <c r="C43" s="6">
        <f>359+71+569+23</f>
        <v>1022</v>
      </c>
      <c r="D43" s="5">
        <f t="shared" si="1"/>
        <v>0.19918144611186903</v>
      </c>
      <c r="E43" s="2">
        <v>91</v>
      </c>
      <c r="F43" s="6">
        <v>5131</v>
      </c>
      <c r="G43" s="5">
        <f t="shared" si="2"/>
        <v>0.23714008411517309</v>
      </c>
    </row>
    <row r="44" spans="1:7">
      <c r="A44" s="1" t="s">
        <v>51</v>
      </c>
      <c r="B44" s="4">
        <v>2407</v>
      </c>
      <c r="C44" s="2">
        <f>13+21+70</f>
        <v>104</v>
      </c>
      <c r="D44" s="5">
        <f t="shared" si="1"/>
        <v>0.14899713467048711</v>
      </c>
      <c r="E44" s="2">
        <v>24</v>
      </c>
      <c r="F44" s="2">
        <v>698</v>
      </c>
      <c r="G44" s="5">
        <f t="shared" si="2"/>
        <v>0.28998753635230579</v>
      </c>
    </row>
    <row r="45" spans="1:7">
      <c r="A45" s="1" t="s">
        <v>52</v>
      </c>
      <c r="B45" s="4">
        <v>1484</v>
      </c>
      <c r="C45" s="2">
        <f>10+29+26</f>
        <v>65</v>
      </c>
      <c r="D45" s="5">
        <f t="shared" si="1"/>
        <v>9.3390804597701146E-2</v>
      </c>
      <c r="E45" s="2">
        <v>23</v>
      </c>
      <c r="F45" s="2">
        <v>696</v>
      </c>
      <c r="G45" s="5">
        <f t="shared" si="2"/>
        <v>0.46900269541778977</v>
      </c>
    </row>
    <row r="46" spans="1:7">
      <c r="A46" s="1" t="s">
        <v>53</v>
      </c>
      <c r="B46" s="4">
        <v>8572</v>
      </c>
      <c r="C46" s="2">
        <f>60+52+295+1</f>
        <v>408</v>
      </c>
      <c r="D46" s="5">
        <f t="shared" si="1"/>
        <v>0.15218202163371877</v>
      </c>
      <c r="E46" s="2">
        <v>56</v>
      </c>
      <c r="F46" s="6">
        <v>2681</v>
      </c>
      <c r="G46" s="5">
        <f t="shared" si="2"/>
        <v>0.31276248250116662</v>
      </c>
    </row>
    <row r="47" spans="1:7">
      <c r="A47" s="1" t="s">
        <v>54</v>
      </c>
      <c r="B47" s="4">
        <v>12773</v>
      </c>
      <c r="C47" s="2">
        <f>16+61+85</f>
        <v>162</v>
      </c>
      <c r="D47" s="5">
        <f t="shared" si="1"/>
        <v>5.502717391304348E-2</v>
      </c>
      <c r="E47" s="2">
        <v>52</v>
      </c>
      <c r="F47" s="6">
        <v>2944</v>
      </c>
      <c r="G47" s="5">
        <f t="shared" si="2"/>
        <v>0.23048618178971267</v>
      </c>
    </row>
    <row r="48" spans="1:7" s="11" customFormat="1">
      <c r="A48" s="9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3</v>
      </c>
    </row>
    <row r="49" spans="1:7" s="11" customFormat="1">
      <c r="A49" s="9"/>
      <c r="B49" s="10" t="s">
        <v>6</v>
      </c>
      <c r="C49" s="10" t="s">
        <v>6</v>
      </c>
      <c r="D49" s="10" t="s">
        <v>7</v>
      </c>
      <c r="E49" s="10" t="s">
        <v>8</v>
      </c>
      <c r="F49" s="10" t="s">
        <v>9</v>
      </c>
      <c r="G49" s="10" t="s">
        <v>10</v>
      </c>
    </row>
    <row r="50" spans="1:7">
      <c r="A50" s="1"/>
      <c r="B50" s="3"/>
      <c r="C50" s="3"/>
      <c r="D50" s="3"/>
      <c r="E50" s="3"/>
      <c r="F50" s="3"/>
      <c r="G50" s="3"/>
    </row>
    <row r="51" spans="1:7">
      <c r="A51" s="1" t="s">
        <v>55</v>
      </c>
      <c r="B51" s="4">
        <v>2354</v>
      </c>
      <c r="C51" s="2">
        <f>8+74+13</f>
        <v>95</v>
      </c>
      <c r="D51" s="5">
        <f t="shared" si="1"/>
        <v>0.12055837563451777</v>
      </c>
      <c r="E51" s="2">
        <v>12</v>
      </c>
      <c r="F51" s="2">
        <v>788</v>
      </c>
      <c r="G51" s="5">
        <f t="shared" si="2"/>
        <v>0.33474936278674594</v>
      </c>
    </row>
    <row r="52" spans="1:7">
      <c r="A52" s="1" t="s">
        <v>56</v>
      </c>
      <c r="B52" s="4">
        <v>371731</v>
      </c>
      <c r="C52" s="6">
        <v>21621</v>
      </c>
      <c r="D52" s="5">
        <f t="shared" si="1"/>
        <v>0.33078853156268168</v>
      </c>
      <c r="E52" s="6">
        <v>1555</v>
      </c>
      <c r="F52" s="6">
        <v>65362</v>
      </c>
      <c r="G52" s="5">
        <f t="shared" si="2"/>
        <v>0.17583144800944769</v>
      </c>
    </row>
    <row r="53" spans="1:7">
      <c r="A53" s="1" t="s">
        <v>57</v>
      </c>
      <c r="B53" s="4">
        <v>2158</v>
      </c>
      <c r="C53" s="2">
        <f>9+38+79</f>
        <v>126</v>
      </c>
      <c r="D53" s="5">
        <f t="shared" si="1"/>
        <v>0.14318181818181819</v>
      </c>
      <c r="E53" s="2">
        <v>21</v>
      </c>
      <c r="F53" s="2">
        <v>880</v>
      </c>
      <c r="G53" s="5">
        <f t="shared" si="2"/>
        <v>0.4077849860982391</v>
      </c>
    </row>
    <row r="54" spans="1:7">
      <c r="A54" s="1" t="s">
        <v>58</v>
      </c>
      <c r="B54" s="4">
        <v>5397</v>
      </c>
      <c r="C54" s="2">
        <f>38+71+72+1</f>
        <v>182</v>
      </c>
      <c r="D54" s="5">
        <f t="shared" si="1"/>
        <v>0.12981455064194009</v>
      </c>
      <c r="E54" s="2">
        <v>29</v>
      </c>
      <c r="F54" s="6">
        <v>1402</v>
      </c>
      <c r="G54" s="5">
        <f t="shared" si="2"/>
        <v>0.25977394848990182</v>
      </c>
    </row>
    <row r="55" spans="1:7">
      <c r="A55" s="1" t="s">
        <v>59</v>
      </c>
      <c r="B55" s="4">
        <v>1615</v>
      </c>
      <c r="C55" s="2">
        <f>8+14+41</f>
        <v>63</v>
      </c>
      <c r="D55" s="5">
        <f t="shared" si="1"/>
        <v>7.0000000000000007E-2</v>
      </c>
      <c r="E55" s="2">
        <v>19</v>
      </c>
      <c r="F55" s="3">
        <v>900</v>
      </c>
      <c r="G55" s="5">
        <f t="shared" si="2"/>
        <v>0.55727554179566563</v>
      </c>
    </row>
    <row r="56" spans="1:7">
      <c r="A56" s="1" t="s">
        <v>60</v>
      </c>
      <c r="B56" s="4">
        <v>16177</v>
      </c>
      <c r="C56" s="2">
        <f>123+201+80+3</f>
        <v>407</v>
      </c>
      <c r="D56" s="5">
        <f t="shared" si="1"/>
        <v>9.5990566037735855E-2</v>
      </c>
      <c r="E56" s="2">
        <v>101</v>
      </c>
      <c r="F56" s="6">
        <v>4240</v>
      </c>
      <c r="G56" s="5">
        <f t="shared" si="2"/>
        <v>0.26210051307411758</v>
      </c>
    </row>
    <row r="57" spans="1:7">
      <c r="A57" s="1" t="s">
        <v>61</v>
      </c>
      <c r="B57" s="4">
        <v>1357</v>
      </c>
      <c r="C57" s="2">
        <f>22+34+144</f>
        <v>200</v>
      </c>
      <c r="D57" s="5">
        <f t="shared" si="1"/>
        <v>0.26281208935611039</v>
      </c>
      <c r="E57" s="2">
        <v>23</v>
      </c>
      <c r="F57" s="2">
        <v>761</v>
      </c>
      <c r="G57" s="5">
        <f t="shared" si="2"/>
        <v>0.56079587324981572</v>
      </c>
    </row>
    <row r="58" spans="1:7">
      <c r="A58" s="1" t="s">
        <v>62</v>
      </c>
      <c r="B58" s="4">
        <v>44625</v>
      </c>
      <c r="C58" s="6">
        <f>113+341+540+16</f>
        <v>1010</v>
      </c>
      <c r="D58" s="5">
        <f t="shared" si="1"/>
        <v>0.13321023476655236</v>
      </c>
      <c r="E58" s="2">
        <v>77</v>
      </c>
      <c r="F58" s="6">
        <v>7582</v>
      </c>
      <c r="G58" s="5">
        <f t="shared" si="2"/>
        <v>0.16990476190476189</v>
      </c>
    </row>
    <row r="59" spans="1:7">
      <c r="A59" s="1" t="s">
        <v>63</v>
      </c>
      <c r="B59" s="4">
        <v>2233</v>
      </c>
      <c r="C59" s="2">
        <f>42+48+73+2</f>
        <v>165</v>
      </c>
      <c r="D59" s="5">
        <f t="shared" si="1"/>
        <v>0.16717325227963525</v>
      </c>
      <c r="E59" s="2">
        <v>18</v>
      </c>
      <c r="F59" s="2">
        <v>987</v>
      </c>
      <c r="G59" s="5">
        <f t="shared" si="2"/>
        <v>0.44200626959247646</v>
      </c>
    </row>
    <row r="60" spans="1:7">
      <c r="A60" s="1" t="s">
        <v>64</v>
      </c>
      <c r="B60" s="4">
        <v>7116</v>
      </c>
      <c r="C60" s="2">
        <f>22+54+154</f>
        <v>230</v>
      </c>
      <c r="D60" s="5">
        <f t="shared" si="1"/>
        <v>9.8081023454157784E-2</v>
      </c>
      <c r="E60" s="2">
        <v>101</v>
      </c>
      <c r="F60" s="6">
        <v>2345</v>
      </c>
      <c r="G60" s="5">
        <f t="shared" si="2"/>
        <v>0.32953906689151208</v>
      </c>
    </row>
    <row r="61" spans="1:7">
      <c r="A61" s="1" t="s">
        <v>65</v>
      </c>
      <c r="B61" s="4">
        <v>1859</v>
      </c>
      <c r="C61" s="2">
        <f>98+38+53</f>
        <v>189</v>
      </c>
      <c r="D61" s="5">
        <f t="shared" si="1"/>
        <v>0.27712609970674484</v>
      </c>
      <c r="E61" s="2">
        <v>18</v>
      </c>
      <c r="F61" s="2">
        <v>682</v>
      </c>
      <c r="G61" s="5">
        <f t="shared" si="2"/>
        <v>0.36686390532544377</v>
      </c>
    </row>
    <row r="62" spans="1:7">
      <c r="A62" s="1" t="s">
        <v>66</v>
      </c>
      <c r="B62" s="4">
        <v>19920</v>
      </c>
      <c r="C62" s="6">
        <f>59+59+1162+2</f>
        <v>1282</v>
      </c>
      <c r="D62" s="5">
        <f t="shared" si="1"/>
        <v>0.21817562968005447</v>
      </c>
      <c r="E62" s="2">
        <v>83</v>
      </c>
      <c r="F62" s="6">
        <v>5876</v>
      </c>
      <c r="G62" s="5">
        <f t="shared" si="2"/>
        <v>0.29497991967871484</v>
      </c>
    </row>
    <row r="63" spans="1:7">
      <c r="A63" s="1" t="s">
        <v>67</v>
      </c>
      <c r="B63" s="4">
        <v>7629</v>
      </c>
      <c r="C63" s="2">
        <f>31+19+45</f>
        <v>95</v>
      </c>
      <c r="D63" s="5">
        <f t="shared" si="1"/>
        <v>7.4803149606299218E-2</v>
      </c>
      <c r="E63" s="2">
        <v>29</v>
      </c>
      <c r="F63" s="6">
        <v>1270</v>
      </c>
      <c r="G63" s="5">
        <f t="shared" si="2"/>
        <v>0.16647004849914798</v>
      </c>
    </row>
    <row r="64" spans="1:7">
      <c r="A64" s="1" t="s">
        <v>68</v>
      </c>
      <c r="B64" s="4">
        <v>6980</v>
      </c>
      <c r="C64" s="2">
        <f>115+79+428+1</f>
        <v>623</v>
      </c>
      <c r="D64" s="5">
        <f t="shared" si="1"/>
        <v>0.27028199566160521</v>
      </c>
      <c r="E64" s="2">
        <v>46</v>
      </c>
      <c r="F64" s="6">
        <v>2305</v>
      </c>
      <c r="G64" s="5">
        <f t="shared" si="2"/>
        <v>0.33022922636103152</v>
      </c>
    </row>
    <row r="65" spans="1:7">
      <c r="A65" s="1" t="s">
        <v>69</v>
      </c>
      <c r="B65" s="4">
        <v>15040</v>
      </c>
      <c r="C65" s="2">
        <f>136+55+412+10</f>
        <v>613</v>
      </c>
      <c r="D65" s="5">
        <f t="shared" si="1"/>
        <v>0.12760199833472108</v>
      </c>
      <c r="E65" s="2">
        <v>89</v>
      </c>
      <c r="F65" s="6">
        <v>4804</v>
      </c>
      <c r="G65" s="5">
        <f>F65/B65</f>
        <v>0.3194148936170213</v>
      </c>
    </row>
    <row r="66" spans="1:7">
      <c r="A66" s="1" t="s">
        <v>70</v>
      </c>
      <c r="B66" s="4">
        <v>3090</v>
      </c>
      <c r="C66" s="2">
        <f>11+10+119</f>
        <v>140</v>
      </c>
      <c r="D66" s="5">
        <f t="shared" si="1"/>
        <v>0.171990171990172</v>
      </c>
      <c r="E66" s="2">
        <v>14</v>
      </c>
      <c r="F66" s="2">
        <v>814</v>
      </c>
      <c r="G66" s="5">
        <f>F66/B66</f>
        <v>0.26343042071197409</v>
      </c>
    </row>
    <row r="67" spans="1:7">
      <c r="A67" s="1" t="s">
        <v>71</v>
      </c>
      <c r="B67" s="4">
        <v>21216</v>
      </c>
      <c r="C67" s="6">
        <v>1003</v>
      </c>
      <c r="D67" s="5">
        <f t="shared" si="1"/>
        <v>0.18259603131257965</v>
      </c>
      <c r="E67" s="2">
        <v>89</v>
      </c>
      <c r="F67" s="6">
        <v>5493</v>
      </c>
      <c r="G67" s="5">
        <f>F67/B67</f>
        <v>0.25890837104072401</v>
      </c>
    </row>
    <row r="68" spans="1:7">
      <c r="A68" s="1" t="s">
        <v>72</v>
      </c>
      <c r="B68" s="4">
        <v>4175</v>
      </c>
      <c r="C68" s="2">
        <f>71+28+50+3</f>
        <v>152</v>
      </c>
      <c r="D68" s="5">
        <f t="shared" si="1"/>
        <v>0.17312072892938496</v>
      </c>
      <c r="E68" s="2">
        <v>9</v>
      </c>
      <c r="F68" s="2">
        <v>878</v>
      </c>
      <c r="G68" s="5">
        <f>F68/B68</f>
        <v>0.21029940119760479</v>
      </c>
    </row>
    <row r="69" spans="1:7">
      <c r="A69" s="1" t="s">
        <v>73</v>
      </c>
      <c r="B69" s="4">
        <v>19932</v>
      </c>
      <c r="C69" s="2">
        <f>173+103+291</f>
        <v>567</v>
      </c>
      <c r="D69" s="5">
        <f t="shared" si="1"/>
        <v>9.7809211661204071E-2</v>
      </c>
      <c r="E69" s="2">
        <v>118</v>
      </c>
      <c r="F69" s="6">
        <v>5797</v>
      </c>
      <c r="G69" s="5">
        <f>F69/B69</f>
        <v>0.29083885209713023</v>
      </c>
    </row>
    <row r="70" spans="1:7">
      <c r="A70" s="1" t="s">
        <v>74</v>
      </c>
      <c r="B70" s="4">
        <v>3916</v>
      </c>
      <c r="C70" s="2">
        <f>137+205+217</f>
        <v>559</v>
      </c>
      <c r="D70" s="5">
        <f t="shared" si="1"/>
        <v>0.36800526662277816</v>
      </c>
      <c r="E70" s="2">
        <v>15</v>
      </c>
      <c r="F70" s="6">
        <v>1519</v>
      </c>
      <c r="G70" s="5">
        <f t="shared" ref="G70:G91" si="3">F70/B70</f>
        <v>0.38789581205311541</v>
      </c>
    </row>
    <row r="71" spans="1:7">
      <c r="A71" s="1" t="s">
        <v>75</v>
      </c>
      <c r="B71" s="4">
        <v>1938</v>
      </c>
      <c r="C71" s="2">
        <f>29+14+113</f>
        <v>156</v>
      </c>
      <c r="D71" s="5">
        <f t="shared" si="1"/>
        <v>0.17627118644067796</v>
      </c>
      <c r="E71" s="2">
        <v>19</v>
      </c>
      <c r="F71" s="2">
        <v>885</v>
      </c>
      <c r="G71" s="5">
        <f t="shared" si="3"/>
        <v>0.45665634674922601</v>
      </c>
    </row>
    <row r="72" spans="1:7">
      <c r="A72" s="1" t="s">
        <v>76</v>
      </c>
      <c r="B72" s="4">
        <v>7444</v>
      </c>
      <c r="C72" s="2">
        <f>49+43+71+1</f>
        <v>164</v>
      </c>
      <c r="D72" s="5">
        <f t="shared" si="1"/>
        <v>7.8356426182513136E-2</v>
      </c>
      <c r="E72" s="2">
        <v>39</v>
      </c>
      <c r="F72" s="6">
        <v>2093</v>
      </c>
      <c r="G72" s="5">
        <f t="shared" si="3"/>
        <v>0.28116603976356797</v>
      </c>
    </row>
    <row r="73" spans="1:7">
      <c r="A73" s="1" t="s">
        <v>77</v>
      </c>
      <c r="B73" s="4">
        <v>11803</v>
      </c>
      <c r="C73" s="2">
        <f>80+75+78</f>
        <v>233</v>
      </c>
      <c r="D73" s="5">
        <f t="shared" ref="D73:D97" si="4">C73/F73</f>
        <v>7.401524777636595E-2</v>
      </c>
      <c r="E73" s="2">
        <v>66</v>
      </c>
      <c r="F73" s="6">
        <v>3148</v>
      </c>
      <c r="G73" s="5">
        <f t="shared" si="3"/>
        <v>0.26671185291874949</v>
      </c>
    </row>
    <row r="74" spans="1:7">
      <c r="A74" s="1" t="s">
        <v>78</v>
      </c>
      <c r="B74" s="4">
        <v>2042</v>
      </c>
      <c r="C74" s="2">
        <f>23+28+68</f>
        <v>119</v>
      </c>
      <c r="D74" s="5">
        <f t="shared" si="4"/>
        <v>0.19286871961102106</v>
      </c>
      <c r="E74" s="2">
        <v>19</v>
      </c>
      <c r="F74" s="2">
        <v>617</v>
      </c>
      <c r="G74" s="5">
        <f t="shared" si="3"/>
        <v>0.30215475024485799</v>
      </c>
    </row>
    <row r="75" spans="1:7">
      <c r="A75" s="1" t="s">
        <v>79</v>
      </c>
      <c r="B75" s="4">
        <v>3325</v>
      </c>
      <c r="C75" s="2">
        <f>90+8+37</f>
        <v>135</v>
      </c>
      <c r="D75" s="5">
        <f t="shared" si="4"/>
        <v>0.11147811725846409</v>
      </c>
      <c r="E75" s="2">
        <v>19</v>
      </c>
      <c r="F75" s="6">
        <v>1211</v>
      </c>
      <c r="G75" s="5">
        <f t="shared" si="3"/>
        <v>0.36421052631578948</v>
      </c>
    </row>
    <row r="76" spans="1:7">
      <c r="A76" s="1" t="s">
        <v>80</v>
      </c>
      <c r="B76" s="4">
        <v>10658</v>
      </c>
      <c r="C76" s="2">
        <f>45+48+79</f>
        <v>172</v>
      </c>
      <c r="D76" s="5">
        <f t="shared" si="4"/>
        <v>6.3142437591776804E-2</v>
      </c>
      <c r="E76" s="2">
        <v>70</v>
      </c>
      <c r="F76" s="6">
        <v>2724</v>
      </c>
      <c r="G76" s="5">
        <f t="shared" si="3"/>
        <v>0.255582660911991</v>
      </c>
    </row>
    <row r="77" spans="1:7">
      <c r="A77" s="1" t="s">
        <v>81</v>
      </c>
      <c r="B77" s="4">
        <v>2926</v>
      </c>
      <c r="C77" s="2">
        <f>23+9+63</f>
        <v>95</v>
      </c>
      <c r="D77" s="5">
        <f t="shared" si="4"/>
        <v>0.12369791666666667</v>
      </c>
      <c r="E77" s="2">
        <v>9</v>
      </c>
      <c r="F77" s="2">
        <v>768</v>
      </c>
      <c r="G77" s="5">
        <f t="shared" si="3"/>
        <v>0.26247436773752564</v>
      </c>
    </row>
    <row r="78" spans="1:7">
      <c r="A78" s="1" t="s">
        <v>82</v>
      </c>
      <c r="B78" s="4">
        <v>4316</v>
      </c>
      <c r="C78" s="2">
        <f>15+45+112+1</f>
        <v>173</v>
      </c>
      <c r="D78" s="5">
        <f t="shared" si="4"/>
        <v>9.6540178571428575E-2</v>
      </c>
      <c r="E78" s="2">
        <v>37</v>
      </c>
      <c r="F78" s="6">
        <v>1792</v>
      </c>
      <c r="G78" s="5">
        <f t="shared" si="3"/>
        <v>0.41519925857275253</v>
      </c>
    </row>
    <row r="79" spans="1:7">
      <c r="A79" s="1" t="s">
        <v>83</v>
      </c>
      <c r="B79" s="4">
        <v>3924</v>
      </c>
      <c r="C79" s="2">
        <f>47+21+278</f>
        <v>346</v>
      </c>
      <c r="D79" s="5">
        <f t="shared" si="4"/>
        <v>0.24094707520891365</v>
      </c>
      <c r="E79" s="2">
        <v>36</v>
      </c>
      <c r="F79" s="6">
        <v>1436</v>
      </c>
      <c r="G79" s="5">
        <f t="shared" si="3"/>
        <v>0.3659531090723751</v>
      </c>
    </row>
    <row r="80" spans="1:7">
      <c r="A80" s="1" t="s">
        <v>84</v>
      </c>
      <c r="B80" s="4">
        <v>3834</v>
      </c>
      <c r="C80" s="2">
        <f>18+38+107+3</f>
        <v>166</v>
      </c>
      <c r="D80" s="5">
        <f t="shared" si="4"/>
        <v>9.5677233429394812E-2</v>
      </c>
      <c r="E80" s="2">
        <v>54</v>
      </c>
      <c r="F80" s="6">
        <v>1735</v>
      </c>
      <c r="G80" s="5">
        <f t="shared" si="3"/>
        <v>0.45252999478351591</v>
      </c>
    </row>
    <row r="81" spans="1:7">
      <c r="A81" s="1" t="s">
        <v>85</v>
      </c>
      <c r="B81" s="4">
        <v>13004</v>
      </c>
      <c r="C81" s="2">
        <f>78+124+128+7</f>
        <v>337</v>
      </c>
      <c r="D81" s="5">
        <f t="shared" si="4"/>
        <v>8.3415841584158421E-2</v>
      </c>
      <c r="E81" s="2">
        <v>79</v>
      </c>
      <c r="F81" s="6">
        <v>4040</v>
      </c>
      <c r="G81" s="5">
        <f t="shared" si="3"/>
        <v>0.31067363888034449</v>
      </c>
    </row>
    <row r="82" spans="1:7">
      <c r="A82" s="1" t="s">
        <v>86</v>
      </c>
      <c r="B82" s="4">
        <v>5950</v>
      </c>
      <c r="C82" s="2">
        <f>54+43+232</f>
        <v>329</v>
      </c>
      <c r="D82" s="5">
        <f t="shared" si="4"/>
        <v>0.12185185185185185</v>
      </c>
      <c r="E82" s="2">
        <v>44</v>
      </c>
      <c r="F82" s="6">
        <v>2700</v>
      </c>
      <c r="G82" s="5">
        <f t="shared" si="3"/>
        <v>0.45378151260504201</v>
      </c>
    </row>
    <row r="83" spans="1:7">
      <c r="A83" s="1" t="s">
        <v>87</v>
      </c>
      <c r="B83" s="4">
        <v>2096</v>
      </c>
      <c r="C83" s="2">
        <f>29+52+121+1</f>
        <v>203</v>
      </c>
      <c r="D83" s="5">
        <f t="shared" si="4"/>
        <v>0.24195470798569726</v>
      </c>
      <c r="E83" s="2">
        <v>12</v>
      </c>
      <c r="F83" s="2">
        <v>839</v>
      </c>
      <c r="G83" s="5">
        <f t="shared" si="3"/>
        <v>0.40028625954198471</v>
      </c>
    </row>
    <row r="84" spans="1:7">
      <c r="A84" s="1" t="s">
        <v>88</v>
      </c>
      <c r="B84" s="4">
        <v>40713</v>
      </c>
      <c r="C84" s="6">
        <f>307+159+743+2</f>
        <v>1211</v>
      </c>
      <c r="D84" s="5">
        <f t="shared" si="4"/>
        <v>0.15521661112535248</v>
      </c>
      <c r="E84" s="2">
        <v>122</v>
      </c>
      <c r="F84" s="8">
        <v>7802</v>
      </c>
      <c r="G84" s="5">
        <f t="shared" si="3"/>
        <v>0.19163412177928427</v>
      </c>
    </row>
    <row r="85" spans="1:7">
      <c r="A85" s="1" t="s">
        <v>89</v>
      </c>
      <c r="B85" s="4">
        <v>3726</v>
      </c>
      <c r="C85" s="2">
        <f>67+79+117+2</f>
        <v>265</v>
      </c>
      <c r="D85" s="5">
        <f t="shared" si="4"/>
        <v>0.17241379310344829</v>
      </c>
      <c r="E85" s="2">
        <v>40</v>
      </c>
      <c r="F85" s="6">
        <v>1537</v>
      </c>
      <c r="G85" s="5">
        <f t="shared" si="3"/>
        <v>0.41250670960815888</v>
      </c>
    </row>
    <row r="86" spans="1:7">
      <c r="A86" s="1" t="s">
        <v>90</v>
      </c>
      <c r="B86" s="4">
        <v>5981</v>
      </c>
      <c r="C86" s="2">
        <f>40+36+219+1</f>
        <v>296</v>
      </c>
      <c r="D86" s="5">
        <f t="shared" si="4"/>
        <v>0.17682198327359619</v>
      </c>
      <c r="E86" s="2">
        <v>39</v>
      </c>
      <c r="F86" s="6">
        <v>1674</v>
      </c>
      <c r="G86" s="5">
        <f t="shared" si="3"/>
        <v>0.27988630663768599</v>
      </c>
    </row>
    <row r="87" spans="1:7">
      <c r="A87" s="1" t="s">
        <v>91</v>
      </c>
      <c r="B87" s="4">
        <v>31988</v>
      </c>
      <c r="C87" s="6">
        <f>234+169+1398+18</f>
        <v>1819</v>
      </c>
      <c r="D87" s="5">
        <f t="shared" si="4"/>
        <v>0.24214589989350374</v>
      </c>
      <c r="E87" s="2">
        <v>85</v>
      </c>
      <c r="F87" s="6">
        <v>7512</v>
      </c>
      <c r="G87" s="5">
        <f t="shared" si="3"/>
        <v>0.23483806427410278</v>
      </c>
    </row>
    <row r="88" spans="1:7">
      <c r="A88" s="1" t="s">
        <v>92</v>
      </c>
      <c r="B88" s="4">
        <v>3692</v>
      </c>
      <c r="C88" s="2">
        <f>50+59+62</f>
        <v>171</v>
      </c>
      <c r="D88" s="5">
        <f t="shared" si="4"/>
        <v>0.10607940446650124</v>
      </c>
      <c r="E88" s="2">
        <v>32</v>
      </c>
      <c r="F88" s="6">
        <v>1612</v>
      </c>
      <c r="G88" s="5">
        <f t="shared" si="3"/>
        <v>0.43661971830985913</v>
      </c>
    </row>
    <row r="89" spans="1:7">
      <c r="A89" s="1" t="s">
        <v>93</v>
      </c>
      <c r="B89" s="4">
        <v>2383</v>
      </c>
      <c r="C89" s="2">
        <f>33+29+71+1</f>
        <v>134</v>
      </c>
      <c r="D89" s="5">
        <f t="shared" si="4"/>
        <v>0.16584158415841585</v>
      </c>
      <c r="E89" s="2">
        <v>21</v>
      </c>
      <c r="F89" s="2">
        <v>808</v>
      </c>
      <c r="G89" s="5">
        <f t="shared" si="3"/>
        <v>0.33906840117498949</v>
      </c>
    </row>
    <row r="90" spans="1:7">
      <c r="A90" s="1" t="s">
        <v>94</v>
      </c>
      <c r="B90" s="4">
        <v>4379</v>
      </c>
      <c r="C90" s="2">
        <f>89+29+141+1</f>
        <v>260</v>
      </c>
      <c r="D90" s="5">
        <f t="shared" si="4"/>
        <v>0.1296111665004985</v>
      </c>
      <c r="E90" s="2">
        <v>36</v>
      </c>
      <c r="F90" s="6">
        <v>2006</v>
      </c>
      <c r="G90" s="5">
        <f t="shared" si="3"/>
        <v>0.45809545558346654</v>
      </c>
    </row>
    <row r="91" spans="1:7">
      <c r="A91" s="1" t="s">
        <v>95</v>
      </c>
      <c r="B91" s="4">
        <v>35495</v>
      </c>
      <c r="C91" s="6">
        <f>162+151+1022+4</f>
        <v>1339</v>
      </c>
      <c r="D91" s="5">
        <f t="shared" si="4"/>
        <v>0.14264408224139768</v>
      </c>
      <c r="E91" s="2">
        <v>163</v>
      </c>
      <c r="F91" s="6">
        <v>9387</v>
      </c>
      <c r="G91" s="5">
        <f t="shared" si="3"/>
        <v>0.26445978306803775</v>
      </c>
    </row>
    <row r="92" spans="1:7">
      <c r="A92" s="1" t="s">
        <v>96</v>
      </c>
      <c r="B92" s="4">
        <v>3049</v>
      </c>
      <c r="C92" s="2">
        <f>57+29+148+3</f>
        <v>237</v>
      </c>
      <c r="D92" s="5">
        <f t="shared" si="4"/>
        <v>0.16856330014224752</v>
      </c>
      <c r="E92" s="2">
        <v>36</v>
      </c>
      <c r="F92" s="6">
        <v>1406</v>
      </c>
      <c r="G92" s="5">
        <f>F92/B92</f>
        <v>0.46113479829452281</v>
      </c>
    </row>
    <row r="93" spans="1:7">
      <c r="A93" s="1" t="s">
        <v>97</v>
      </c>
      <c r="B93" s="4">
        <v>264902</v>
      </c>
      <c r="C93" s="6">
        <f>3311+2498+6302+30</f>
        <v>12141</v>
      </c>
      <c r="D93" s="5">
        <f t="shared" si="4"/>
        <v>0.22105493144948382</v>
      </c>
      <c r="E93" s="6">
        <v>1036</v>
      </c>
      <c r="F93" s="6">
        <v>54923</v>
      </c>
      <c r="G93" s="5">
        <f>F93/B93</f>
        <v>0.20733327796694626</v>
      </c>
    </row>
    <row r="94" spans="1:7">
      <c r="A94" s="1" t="s">
        <v>98</v>
      </c>
      <c r="B94" s="4">
        <v>9875</v>
      </c>
      <c r="C94" s="2">
        <f>79+10+469+2</f>
        <v>560</v>
      </c>
      <c r="D94" s="5">
        <f>C94/F94</f>
        <v>0.27000964320154291</v>
      </c>
      <c r="E94" s="2">
        <v>69</v>
      </c>
      <c r="F94" s="6">
        <v>2074</v>
      </c>
      <c r="G94" s="5">
        <f t="shared" ref="G94:G114" si="5">F94/B94</f>
        <v>0.21002531645569619</v>
      </c>
    </row>
    <row r="95" spans="1:7" s="11" customFormat="1">
      <c r="A95" s="9" t="s">
        <v>0</v>
      </c>
      <c r="B95" s="10" t="s">
        <v>1</v>
      </c>
      <c r="C95" s="10" t="s">
        <v>2</v>
      </c>
      <c r="D95" s="10" t="s">
        <v>3</v>
      </c>
      <c r="E95" s="10" t="s">
        <v>4</v>
      </c>
      <c r="F95" s="10" t="s">
        <v>5</v>
      </c>
      <c r="G95" s="10" t="s">
        <v>3</v>
      </c>
    </row>
    <row r="96" spans="1:7" s="11" customFormat="1">
      <c r="A96" s="9"/>
      <c r="B96" s="10" t="s">
        <v>6</v>
      </c>
      <c r="C96" s="10" t="s">
        <v>6</v>
      </c>
      <c r="D96" s="10" t="s">
        <v>7</v>
      </c>
      <c r="E96" s="10" t="s">
        <v>8</v>
      </c>
      <c r="F96" s="10" t="s">
        <v>9</v>
      </c>
      <c r="G96" s="10" t="s">
        <v>10</v>
      </c>
    </row>
    <row r="97" spans="1:7">
      <c r="A97" s="1"/>
      <c r="B97" s="3"/>
      <c r="C97" s="3"/>
      <c r="D97" s="3"/>
      <c r="E97" s="3"/>
      <c r="F97" s="3"/>
      <c r="G97" s="3"/>
    </row>
    <row r="98" spans="1:7">
      <c r="A98" s="1" t="s">
        <v>99</v>
      </c>
      <c r="B98" s="4">
        <v>106555</v>
      </c>
      <c r="C98" s="6">
        <f>1184+1115+1684+34</f>
        <v>4017</v>
      </c>
      <c r="D98" s="5">
        <f>C98/F98</f>
        <v>0.1354851765658201</v>
      </c>
      <c r="E98" s="2">
        <v>617</v>
      </c>
      <c r="F98" s="6">
        <v>29649</v>
      </c>
      <c r="G98" s="5">
        <f t="shared" si="5"/>
        <v>0.27825066866876264</v>
      </c>
    </row>
    <row r="99" spans="1:7">
      <c r="A99" s="1" t="s">
        <v>100</v>
      </c>
      <c r="B99" s="4">
        <v>1790</v>
      </c>
      <c r="C99" s="2">
        <f>26+129+68</f>
        <v>223</v>
      </c>
      <c r="D99" s="5">
        <f t="shared" ref="D99:D116" si="6">C99/F99</f>
        <v>0.2</v>
      </c>
      <c r="E99" s="2">
        <v>25</v>
      </c>
      <c r="F99" s="6">
        <v>1115</v>
      </c>
      <c r="G99" s="5">
        <f t="shared" si="5"/>
        <v>0.62290502793296088</v>
      </c>
    </row>
    <row r="100" spans="1:7">
      <c r="A100" s="1" t="s">
        <v>101</v>
      </c>
      <c r="B100" s="4">
        <v>3810</v>
      </c>
      <c r="C100" s="2">
        <f>31+11+295</f>
        <v>337</v>
      </c>
      <c r="D100" s="5">
        <f t="shared" si="6"/>
        <v>0.21911573472041612</v>
      </c>
      <c r="E100" s="2">
        <v>40</v>
      </c>
      <c r="F100" s="6">
        <v>1538</v>
      </c>
      <c r="G100" s="5">
        <f t="shared" si="5"/>
        <v>0.40367454068241471</v>
      </c>
    </row>
    <row r="101" spans="1:7">
      <c r="A101" s="1" t="s">
        <v>102</v>
      </c>
      <c r="B101" s="4">
        <v>3042</v>
      </c>
      <c r="C101" s="2">
        <f>23+58+116+2</f>
        <v>199</v>
      </c>
      <c r="D101" s="5">
        <f t="shared" si="6"/>
        <v>0.13152676801057503</v>
      </c>
      <c r="E101" s="2">
        <v>81</v>
      </c>
      <c r="F101" s="6">
        <v>1513</v>
      </c>
      <c r="G101" s="5">
        <f t="shared" si="5"/>
        <v>0.49737015121630507</v>
      </c>
    </row>
    <row r="102" spans="1:7">
      <c r="A102" s="1" t="s">
        <v>103</v>
      </c>
      <c r="B102" s="4">
        <v>2707</v>
      </c>
      <c r="C102" s="2">
        <f>92+106+127</f>
        <v>325</v>
      </c>
      <c r="D102" s="5">
        <f t="shared" si="6"/>
        <v>0.25154798761609909</v>
      </c>
      <c r="E102" s="2">
        <v>16</v>
      </c>
      <c r="F102" s="6">
        <v>1292</v>
      </c>
      <c r="G102" s="5">
        <f t="shared" si="5"/>
        <v>0.47728112301440712</v>
      </c>
    </row>
    <row r="103" spans="1:7">
      <c r="A103" s="1" t="s">
        <v>104</v>
      </c>
      <c r="B103" s="4">
        <v>1214</v>
      </c>
      <c r="C103" s="2">
        <f>17+2+23</f>
        <v>42</v>
      </c>
      <c r="D103" s="5">
        <f t="shared" si="6"/>
        <v>0.14634146341463414</v>
      </c>
      <c r="E103" s="2">
        <v>4</v>
      </c>
      <c r="F103" s="2">
        <v>287</v>
      </c>
      <c r="G103" s="5">
        <f t="shared" si="5"/>
        <v>0.23640856672158156</v>
      </c>
    </row>
    <row r="104" spans="1:7">
      <c r="A104" s="1" t="s">
        <v>105</v>
      </c>
      <c r="B104" s="4">
        <v>2911</v>
      </c>
      <c r="C104" s="2">
        <f>1+58+87</f>
        <v>146</v>
      </c>
      <c r="D104" s="5">
        <f t="shared" si="6"/>
        <v>0.10413694721825963</v>
      </c>
      <c r="E104" s="2">
        <v>32</v>
      </c>
      <c r="F104" s="6">
        <v>1402</v>
      </c>
      <c r="G104" s="5">
        <f t="shared" si="5"/>
        <v>0.48162143593266921</v>
      </c>
    </row>
    <row r="105" spans="1:7">
      <c r="A105" s="1" t="s">
        <v>106</v>
      </c>
      <c r="B105" s="4">
        <v>15507</v>
      </c>
      <c r="C105" s="2">
        <f>55+182+128+1</f>
        <v>366</v>
      </c>
      <c r="D105" s="5">
        <f t="shared" si="6"/>
        <v>9.6927966101694921E-2</v>
      </c>
      <c r="E105" s="2">
        <v>108</v>
      </c>
      <c r="F105" s="6">
        <v>3776</v>
      </c>
      <c r="G105" s="5">
        <f t="shared" si="5"/>
        <v>0.243502934158767</v>
      </c>
    </row>
    <row r="106" spans="1:7">
      <c r="A106" s="1" t="s">
        <v>107</v>
      </c>
      <c r="B106" s="4">
        <v>4710</v>
      </c>
      <c r="C106" s="2">
        <f>378+25+311+1</f>
        <v>715</v>
      </c>
      <c r="D106" s="5">
        <f t="shared" si="6"/>
        <v>0.4191090269636577</v>
      </c>
      <c r="E106" s="2">
        <v>36</v>
      </c>
      <c r="F106" s="6">
        <v>1706</v>
      </c>
      <c r="G106" s="5">
        <f t="shared" si="5"/>
        <v>0.36220806794055199</v>
      </c>
    </row>
    <row r="107" spans="1:7">
      <c r="A107" s="1" t="s">
        <v>108</v>
      </c>
      <c r="B107" s="4">
        <v>2221</v>
      </c>
      <c r="C107" s="2">
        <f>23+32+105</f>
        <v>160</v>
      </c>
      <c r="D107" s="5">
        <f t="shared" si="6"/>
        <v>0.2857142857142857</v>
      </c>
      <c r="E107" s="2">
        <v>12</v>
      </c>
      <c r="F107" s="2">
        <v>560</v>
      </c>
      <c r="G107" s="5">
        <f t="shared" si="5"/>
        <v>0.25213867627194958</v>
      </c>
    </row>
    <row r="108" spans="1:7">
      <c r="A108" s="1" t="s">
        <v>109</v>
      </c>
      <c r="B108" s="4">
        <v>4588</v>
      </c>
      <c r="C108" s="2">
        <f>4+111+59+1</f>
        <v>175</v>
      </c>
      <c r="D108" s="5">
        <f t="shared" si="6"/>
        <v>0.13079222720478326</v>
      </c>
      <c r="E108" s="2">
        <v>11</v>
      </c>
      <c r="F108" s="6">
        <v>1338</v>
      </c>
      <c r="G108" s="5">
        <f t="shared" si="5"/>
        <v>0.29163034001743682</v>
      </c>
    </row>
    <row r="109" spans="1:7">
      <c r="A109" s="1" t="s">
        <v>110</v>
      </c>
      <c r="B109" s="4">
        <v>1069</v>
      </c>
      <c r="C109" s="2">
        <f>12+109+84</f>
        <v>205</v>
      </c>
      <c r="D109" s="5">
        <f t="shared" si="6"/>
        <v>0.42976939203354297</v>
      </c>
      <c r="E109" s="2">
        <v>12</v>
      </c>
      <c r="F109" s="2">
        <v>477</v>
      </c>
      <c r="G109" s="5">
        <f t="shared" si="5"/>
        <v>0.44621141253507951</v>
      </c>
    </row>
    <row r="110" spans="1:7">
      <c r="A110" s="1" t="s">
        <v>111</v>
      </c>
      <c r="B110" s="4">
        <v>4014</v>
      </c>
      <c r="C110" s="6">
        <f>170+673+369</f>
        <v>1212</v>
      </c>
      <c r="D110" s="5">
        <f t="shared" si="6"/>
        <v>0.57769304099142038</v>
      </c>
      <c r="E110" s="2">
        <v>54</v>
      </c>
      <c r="F110" s="6">
        <v>2098</v>
      </c>
      <c r="G110" s="5">
        <f t="shared" si="5"/>
        <v>0.52267065271549573</v>
      </c>
    </row>
    <row r="111" spans="1:7">
      <c r="A111" s="1" t="s">
        <v>112</v>
      </c>
      <c r="B111" s="4">
        <v>1396</v>
      </c>
      <c r="C111" s="2">
        <f>6+5+14</f>
        <v>25</v>
      </c>
      <c r="D111" s="5">
        <f t="shared" si="6"/>
        <v>5.2083333333333336E-2</v>
      </c>
      <c r="E111" s="2">
        <v>0</v>
      </c>
      <c r="F111" s="2">
        <v>480</v>
      </c>
      <c r="G111" s="5">
        <f t="shared" si="5"/>
        <v>0.34383954154727792</v>
      </c>
    </row>
    <row r="112" spans="1:7">
      <c r="A112" s="1" t="s">
        <v>113</v>
      </c>
      <c r="B112" s="4">
        <v>5769</v>
      </c>
      <c r="C112" s="2">
        <f>152+56+200+2</f>
        <v>410</v>
      </c>
      <c r="D112" s="5">
        <f t="shared" si="6"/>
        <v>0.16485725774024929</v>
      </c>
      <c r="E112" s="2">
        <v>29</v>
      </c>
      <c r="F112" s="6">
        <v>2487</v>
      </c>
      <c r="G112" s="5">
        <f t="shared" si="5"/>
        <v>0.43109724388975557</v>
      </c>
    </row>
    <row r="113" spans="1:7">
      <c r="A113" s="1" t="s">
        <v>114</v>
      </c>
      <c r="B113" s="4">
        <v>2262</v>
      </c>
      <c r="C113" s="2">
        <f>24+42+88+2</f>
        <v>156</v>
      </c>
      <c r="D113" s="5">
        <f t="shared" si="6"/>
        <v>0.14885496183206107</v>
      </c>
      <c r="E113" s="2">
        <v>21</v>
      </c>
      <c r="F113" s="6">
        <v>1048</v>
      </c>
      <c r="G113" s="5">
        <f t="shared" si="5"/>
        <v>0.46330680813439434</v>
      </c>
    </row>
    <row r="114" spans="1:7">
      <c r="A114" s="1" t="s">
        <v>115</v>
      </c>
      <c r="B114" s="4">
        <v>81375</v>
      </c>
      <c r="C114" s="6">
        <f>1231+787+241+5</f>
        <v>2264</v>
      </c>
      <c r="D114" s="5">
        <f t="shared" si="6"/>
        <v>0.24549989156365212</v>
      </c>
      <c r="E114" s="2">
        <v>198</v>
      </c>
      <c r="F114" s="6">
        <v>9222</v>
      </c>
      <c r="G114" s="5">
        <f t="shared" si="5"/>
        <v>0.11332718894009217</v>
      </c>
    </row>
    <row r="115" spans="1:7">
      <c r="A115" s="1"/>
      <c r="B115" s="4"/>
      <c r="C115" s="2"/>
      <c r="D115" s="5"/>
      <c r="E115" s="2"/>
      <c r="F115" s="2"/>
      <c r="G115" s="2"/>
    </row>
    <row r="116" spans="1:7">
      <c r="A116" s="1" t="s">
        <v>116</v>
      </c>
      <c r="B116" s="4">
        <f>SUM(B4:B114)</f>
        <v>1719469</v>
      </c>
      <c r="C116" s="4">
        <f>SUM(C4:C114)</f>
        <v>76910</v>
      </c>
      <c r="D116" s="5">
        <f t="shared" si="6"/>
        <v>0.19306318043412229</v>
      </c>
      <c r="E116" s="4">
        <f>SUM(E4:E114)</f>
        <v>8302</v>
      </c>
      <c r="F116" s="4">
        <f>SUM(F4:F114)</f>
        <v>398367</v>
      </c>
      <c r="G116" s="5">
        <f>F116/B116</f>
        <v>0.23168024547113092</v>
      </c>
    </row>
  </sheetData>
  <pageMargins left="0.7" right="0.7" top="0.75" bottom="0.75" header="0.3" footer="0.3"/>
  <pageSetup orientation="portrait" r:id="rId1"/>
  <headerFooter>
    <oddHeader>&amp;C&amp;"Times New Roman,Bold"&amp;10OFFICE OF THE KANSAS SECRETARY OF STATE
&amp;"Times New Roman,Regular"&amp;14 2012 PRIMARY ELECTION TURNOUT STATISTICS&amp;R&amp;"Times New Roman,Italic"&amp;8REV. 08.30.2012 BAC</oddHeader>
  </headerFooter>
  <ignoredErrors>
    <ignoredError sqref="D1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Caskey</dc:creator>
  <cp:lastModifiedBy>Bryan Caskey</cp:lastModifiedBy>
  <dcterms:created xsi:type="dcterms:W3CDTF">2012-08-30T20:55:18Z</dcterms:created>
  <dcterms:modified xsi:type="dcterms:W3CDTF">2012-08-30T20:57:33Z</dcterms:modified>
</cp:coreProperties>
</file>